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cke\Documents\H-AB\2019_WS_19_20\Vorlesungen\BWL_ImmoBew\"/>
    </mc:Choice>
  </mc:AlternateContent>
  <bookViews>
    <workbookView xWindow="0" yWindow="0" windowWidth="17805" windowHeight="1204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Tabelle1!$A$1:$I$157</definedName>
  </definedNames>
  <calcPr calcId="162913"/>
</workbook>
</file>

<file path=xl/calcChain.xml><?xml version="1.0" encoding="utf-8"?>
<calcChain xmlns="http://schemas.openxmlformats.org/spreadsheetml/2006/main">
  <c r="B62" i="1" l="1"/>
  <c r="E7" i="1"/>
  <c r="B37" i="1" l="1"/>
  <c r="B138" i="1" l="1"/>
  <c r="F90" i="1"/>
  <c r="B60" i="1"/>
  <c r="B63" i="1" s="1"/>
  <c r="B65" i="1" s="1"/>
  <c r="B67" i="1" s="1"/>
  <c r="F7" i="1"/>
  <c r="B54" i="1" l="1"/>
  <c r="B51" i="1"/>
  <c r="B143" i="1"/>
  <c r="C134" i="1"/>
  <c r="B114" i="1"/>
  <c r="B134" i="1" s="1"/>
  <c r="B56" i="1" l="1"/>
  <c r="B95" i="1"/>
  <c r="F94" i="1"/>
  <c r="F93" i="1"/>
  <c r="F92" i="1"/>
  <c r="F91" i="1"/>
  <c r="E91" i="1"/>
  <c r="E92" i="1"/>
  <c r="E93" i="1"/>
  <c r="E90" i="1"/>
  <c r="B69" i="1"/>
  <c r="B68" i="1"/>
  <c r="F95" i="1" l="1"/>
  <c r="B70" i="1"/>
  <c r="B71" i="1" s="1"/>
  <c r="B72" i="1" s="1"/>
  <c r="B104" i="1" l="1"/>
  <c r="B44" i="1"/>
  <c r="B46" i="1" s="1"/>
  <c r="B74" i="1"/>
  <c r="B105" i="1" l="1"/>
  <c r="B131" i="1"/>
  <c r="E8" i="1"/>
  <c r="E9" i="1" s="1"/>
  <c r="F9" i="1" s="1"/>
  <c r="G9" i="1" s="1"/>
  <c r="F8" i="1"/>
  <c r="G8" i="1" s="1"/>
  <c r="G7" i="1"/>
  <c r="B107" i="1" l="1"/>
  <c r="B132" i="1"/>
  <c r="B133" i="1" s="1"/>
  <c r="B135" i="1" s="1"/>
  <c r="E10" i="1"/>
  <c r="E11" i="1" s="1"/>
  <c r="F11" i="1" s="1"/>
  <c r="G11" i="1" s="1"/>
  <c r="F10" i="1" l="1"/>
  <c r="G10" i="1" s="1"/>
  <c r="B20" i="1" s="1"/>
  <c r="B22" i="1" s="1"/>
  <c r="B25" i="1" l="1"/>
  <c r="B27" i="1" s="1"/>
  <c r="B109" i="1" s="1"/>
  <c r="B21" i="1"/>
  <c r="B76" i="1" l="1"/>
  <c r="B77" i="1" s="1"/>
  <c r="B79" i="1" s="1"/>
  <c r="B81" i="1" s="1"/>
  <c r="B82" i="1" s="1"/>
  <c r="B117" i="1"/>
  <c r="B137" i="1" s="1"/>
  <c r="B139" i="1" s="1"/>
  <c r="B140" i="1" s="1"/>
  <c r="B145" i="1" s="1"/>
  <c r="B146" i="1" s="1"/>
  <c r="B111" i="1"/>
  <c r="B113" i="1" s="1"/>
  <c r="B115" i="1" s="1"/>
  <c r="B119" i="1" l="1"/>
  <c r="B124" i="1" l="1"/>
  <c r="B125" i="1" s="1"/>
</calcChain>
</file>

<file path=xl/sharedStrings.xml><?xml version="1.0" encoding="utf-8"?>
<sst xmlns="http://schemas.openxmlformats.org/spreadsheetml/2006/main" count="175" uniqueCount="150">
  <si>
    <t>Zusammenfassende Übung deutsche Bewertungsverfahren</t>
  </si>
  <si>
    <t>Nutzungsart</t>
  </si>
  <si>
    <t>Mietvertrags-laufzeit</t>
  </si>
  <si>
    <t>Einzelhandel</t>
  </si>
  <si>
    <t>Arztpraxis</t>
  </si>
  <si>
    <t>Wohnung 1</t>
  </si>
  <si>
    <t>Wohnung 2</t>
  </si>
  <si>
    <t>Wohnung 3</t>
  </si>
  <si>
    <t>Leerstand</t>
  </si>
  <si>
    <t>Vertragsmiete [€/m²]</t>
  </si>
  <si>
    <t>Vermietbare Fläche [m²]</t>
  </si>
  <si>
    <t>Nachhaltige Miete</t>
  </si>
  <si>
    <t>je m² (für Ladenflächen)</t>
  </si>
  <si>
    <t>1) Bodenwertermittlung</t>
  </si>
  <si>
    <t>Vergleichspreise</t>
  </si>
  <si>
    <t>Grundstück</t>
  </si>
  <si>
    <t>Verkaufspreis</t>
  </si>
  <si>
    <t>Verkaufsjahr</t>
  </si>
  <si>
    <t>A</t>
  </si>
  <si>
    <t>B</t>
  </si>
  <si>
    <t>C</t>
  </si>
  <si>
    <t>D</t>
  </si>
  <si>
    <t>E</t>
  </si>
  <si>
    <t>Indexstand Verkaufsjahr</t>
  </si>
  <si>
    <t>Indexstand Stichtag</t>
  </si>
  <si>
    <t>Umrechnungsfaktor</t>
  </si>
  <si>
    <t>Preis am Stichtag</t>
  </si>
  <si>
    <t>Mittelwert</t>
  </si>
  <si>
    <t>MW +30%</t>
  </si>
  <si>
    <t>MW -30%</t>
  </si>
  <si>
    <t>Ausreißer</t>
  </si>
  <si>
    <t>Bodenwertansatz</t>
  </si>
  <si>
    <t>Grundstücksgröße</t>
  </si>
  <si>
    <t>m²</t>
  </si>
  <si>
    <t>Bodenwert</t>
  </si>
  <si>
    <t>Er wurde hier dennoch berücksichtigt, um den Rechenweg zu demonstrieren.</t>
  </si>
  <si>
    <t>2) Wertermittlung der Immobilie (Grundstück + Gebäude)</t>
  </si>
  <si>
    <t>a) Vergleichswertverfahren</t>
  </si>
  <si>
    <t>b) Sachwertverfahren</t>
  </si>
  <si>
    <t>Allgemeine Annahmen / Festlegungen</t>
  </si>
  <si>
    <t>Baujahr</t>
  </si>
  <si>
    <t>Sanierung</t>
  </si>
  <si>
    <t>Sehr guter Zustand</t>
  </si>
  <si>
    <t>Gesamtnutzungsdauer</t>
  </si>
  <si>
    <t>Jahre</t>
  </si>
  <si>
    <t>Fiktives Baujahr</t>
  </si>
  <si>
    <t>Restnutzungsdauer</t>
  </si>
  <si>
    <t>Annahme: grundlegende Sanierung hat fast Neubaustandard erreicht.</t>
  </si>
  <si>
    <t>lt. Aufgabenstellung</t>
  </si>
  <si>
    <t>NHK am Stichtag</t>
  </si>
  <si>
    <t>BGF</t>
  </si>
  <si>
    <t>Zwischenwert</t>
  </si>
  <si>
    <t>In NHK nicht erfasste Bauteile</t>
  </si>
  <si>
    <t>Herstellungskosten baul. Anlagen</t>
  </si>
  <si>
    <t>Nutzungsdauer</t>
  </si>
  <si>
    <t>Alterswertminderungssatz</t>
  </si>
  <si>
    <t>Alterswertminderung</t>
  </si>
  <si>
    <t>Sachwert der baulichen Anlagen</t>
  </si>
  <si>
    <t>Bauliche Außenanlagen</t>
  </si>
  <si>
    <t>Sachwert baul. Außenanlagen</t>
  </si>
  <si>
    <t>Sachwert sonst. Anlagen</t>
  </si>
  <si>
    <t>nicht vorhanden</t>
  </si>
  <si>
    <t>Sachwert</t>
  </si>
  <si>
    <t>Vorl. Verkehrswert</t>
  </si>
  <si>
    <t>sonst. Wertbeeinfl. Umstände</t>
  </si>
  <si>
    <t>Verkehrswert (vor Rundung)</t>
  </si>
  <si>
    <t>Verkehrswert</t>
  </si>
  <si>
    <t>nach dem Sachwertverfahren</t>
  </si>
  <si>
    <t>Rundung auf 100.000er, da VW &gt; 1 Mio.</t>
  </si>
  <si>
    <t>keine</t>
  </si>
  <si>
    <t>mittlere Ausführung</t>
  </si>
  <si>
    <t>keine Angabe in der Aufgabenstellung!</t>
  </si>
  <si>
    <t>c) Ertragswertverfahren</t>
  </si>
  <si>
    <t>Mietvertragsdaten</t>
  </si>
  <si>
    <t>Annahmen</t>
  </si>
  <si>
    <t>je m² für Praxen (liegt deutlich unter Einzelhandel)</t>
  </si>
  <si>
    <t>je m² für Wohnungen</t>
  </si>
  <si>
    <t>Jahresmiete aktuell</t>
  </si>
  <si>
    <t>Summe</t>
  </si>
  <si>
    <t>Rohertrag</t>
  </si>
  <si>
    <t>Bewirtschaftungskosten</t>
  </si>
  <si>
    <t>Grundstücksreinertrag</t>
  </si>
  <si>
    <t>Größe * Bodenrichtwert</t>
  </si>
  <si>
    <t>Liegenschaftszinssatz</t>
  </si>
  <si>
    <t>lt Aufgabenstellung</t>
  </si>
  <si>
    <t>Bodenwertverzinsung</t>
  </si>
  <si>
    <t>(kein unrentierlicher Boden vorhanden)</t>
  </si>
  <si>
    <t>Gebäudereinertrag</t>
  </si>
  <si>
    <t>Vervielfältiger</t>
  </si>
  <si>
    <t>Gebäudeertragswert</t>
  </si>
  <si>
    <t>Vorläufiger Ertragswert</t>
  </si>
  <si>
    <t>Ertragswert</t>
  </si>
  <si>
    <t>nach dem Ertragswertverfahren</t>
  </si>
  <si>
    <t>Nachhaltiger Rohertrag, sh. oben.</t>
  </si>
  <si>
    <t>Verwaltungskosten</t>
  </si>
  <si>
    <t>Weitere Betriebskosten</t>
  </si>
  <si>
    <t>4,5% lt. Aufgabenstellung</t>
  </si>
  <si>
    <t>Allgemeines Ertragswertverfahren</t>
  </si>
  <si>
    <t>Sonst. wertbeeinfl. Umstände</t>
  </si>
  <si>
    <t>Over-Rent</t>
  </si>
  <si>
    <t>alternativ: vereinfachtes Ertragswertverfahren</t>
  </si>
  <si>
    <t>sh. oben.</t>
  </si>
  <si>
    <t>Barwert der Reinerträge</t>
  </si>
  <si>
    <t>Abzinsungsfaktor</t>
  </si>
  <si>
    <t>abgezinster Bodenwert</t>
  </si>
  <si>
    <t>vorläufiger Ertragswert</t>
  </si>
  <si>
    <t>Sonst. Wertbeeinfl. Umstände</t>
  </si>
  <si>
    <t>Nachhaltige Nettomiete</t>
  </si>
  <si>
    <t>siehe unten, Teil c)!</t>
  </si>
  <si>
    <t>Ertragsfaktor</t>
  </si>
  <si>
    <t>-fach</t>
  </si>
  <si>
    <t>Vergleichswert</t>
  </si>
  <si>
    <t>Mit dem Flächenfaktor:</t>
  </si>
  <si>
    <t>Flächenfaktor</t>
  </si>
  <si>
    <t xml:space="preserve">je m² </t>
  </si>
  <si>
    <t>vermietbare Fläche Gewerbe</t>
  </si>
  <si>
    <t>vermietbare Fläche Wohnen</t>
  </si>
  <si>
    <t>m² - siehe Aufgabenstellung</t>
  </si>
  <si>
    <t>Vergleichswert Gewerbeteil</t>
  </si>
  <si>
    <t>Vergleichswert Wohnteil</t>
  </si>
  <si>
    <t>Da der MV der Handelsfläche über Marktniveau liegt, kann hier ein Ansatz erfolgen:</t>
  </si>
  <si>
    <t>(18 Monate * 7,50 € * 120 m² = 16.200 €, Ansatz abgerundet wegen: Barwertbildung, Ausfallrisiko)</t>
  </si>
  <si>
    <t>nach dem Flächenfaktor</t>
  </si>
  <si>
    <t>nach dem Ertragsfaktor</t>
  </si>
  <si>
    <t>Abschließende Beurteilung:</t>
  </si>
  <si>
    <t>Immobilien wie das Bewertungsobjekt werden am Markt vorrangig nach Etragsgesichtspunkten behandelt.</t>
  </si>
  <si>
    <t>NHK-2010-Tabellenwert</t>
  </si>
  <si>
    <t>Gebäudetyp 5.1. Standardstufe 4 (-&gt; 1.085 €/m²); Korrekturfaktor Wohnungsgröße 0,85</t>
  </si>
  <si>
    <t>Indexstand 2010</t>
  </si>
  <si>
    <t>Indexstand 2016</t>
  </si>
  <si>
    <t>Sachwertfaktor</t>
  </si>
  <si>
    <t>Mittelwert zwischen Wohngebäude und Geschäftshaus (sh. Aufgabenstellung)</t>
  </si>
  <si>
    <t>5%, 31 Jahre</t>
  </si>
  <si>
    <t xml:space="preserve">GND=70J. Fiktives Baujahr auf 1998 festgelegt. Grund: Gut gelegenes Gebäude, typisch für WI-Innenstad, daher langfristig nutzbar. </t>
  </si>
  <si>
    <t>Alternativer, ebenfalls plausibler Ansatz: Alternativ auch plausibel: 49 Jahre RND in 1998 gem. Tabelle aus SW-RL --&gt; 31 Jahre RND am Stichtag</t>
  </si>
  <si>
    <t>Jahresmiete nachhaltig / Marktmiete</t>
  </si>
  <si>
    <t>Diese leichte Abweichung vom Ertragswert nach unten erfolgt auch, weil die Ergebnisse des (überschlägig angewendeten) Vergleichswertverfahrens doch merklich unter den Ertragswert angesiedelt sind.</t>
  </si>
  <si>
    <t>Man kann (bzw. sollte) die Ansicht vertreten, dass der 2005er Vergleichspreis prinzipiell nicht mehr relevant ist, da er zu lange zurückliegt.</t>
  </si>
  <si>
    <t>5%, Restnutzungsdauer</t>
  </si>
  <si>
    <t>bis 30.06.2017</t>
  </si>
  <si>
    <t>bis 31.12.2018</t>
  </si>
  <si>
    <t>Unbefristet, ab 1.7.15</t>
  </si>
  <si>
    <t>Unbefristet, ab 1.1.14</t>
  </si>
  <si>
    <t>Hinweise:</t>
  </si>
  <si>
    <t xml:space="preserve">Die Index-Stände wurden als Jahresmittelwerte (30.6.) interpretiert. Somit ist eine extrapolation des letzten </t>
  </si>
  <si>
    <t>gegebenen Wertes (=Mitte 2018) auf den Bewertungsstichtag erforderlich.</t>
  </si>
  <si>
    <t>Mit dem Ertragsfaktor: (Achtung: Hier auf Jahresmieten, nicht auf Reinertrag bezogen!)</t>
  </si>
  <si>
    <t>lt. Aufgabenstellung (Extrapolation des letzten verfügbaren Indexstandes auf den Bewertungsstichtag)</t>
  </si>
  <si>
    <t>Daher wird hier dem Ertragswertverfahren die größere Bedeutung beigemessen und der Verkehrswert auf 2,5 Mio. EUR geschätzt.</t>
  </si>
  <si>
    <t>(keine Angaben zu Vergleichspreisen, daher nur mittelbares Vergleichswertverfahren (zur Plausibilisierung)!)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</si>
</sst>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000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7" fontId="0" fillId="0" borderId="0" xfId="1" applyNumberFormat="1" applyFont="1"/>
    <xf numFmtId="0" fontId="2" fillId="0" borderId="0" xfId="0" applyFont="1"/>
    <xf numFmtId="164" fontId="0" fillId="0" borderId="0" xfId="0" applyNumberFormat="1"/>
    <xf numFmtId="7" fontId="0" fillId="0" borderId="0" xfId="0" applyNumberFormat="1"/>
    <xf numFmtId="5" fontId="0" fillId="0" borderId="0" xfId="0" applyNumberFormat="1"/>
    <xf numFmtId="0" fontId="5" fillId="0" borderId="0" xfId="0" applyFont="1"/>
    <xf numFmtId="2" fontId="0" fillId="0" borderId="0" xfId="0" applyNumberFormat="1"/>
    <xf numFmtId="165" fontId="0" fillId="0" borderId="0" xfId="0" applyNumberFormat="1"/>
    <xf numFmtId="9" fontId="0" fillId="0" borderId="0" xfId="0" applyNumberFormat="1"/>
    <xf numFmtId="3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0" fillId="0" borderId="0" xfId="0" applyFont="1"/>
    <xf numFmtId="7" fontId="3" fillId="0" borderId="0" xfId="0" applyNumberFormat="1" applyFont="1"/>
    <xf numFmtId="0" fontId="0" fillId="0" borderId="0" xfId="0" quotePrefix="1"/>
    <xf numFmtId="0" fontId="6" fillId="0" borderId="0" xfId="0" applyFont="1"/>
    <xf numFmtId="5" fontId="3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topLeftCell="A34" zoomScale="150" zoomScaleNormal="150" workbookViewId="0">
      <selection activeCell="A41" sqref="A41"/>
    </sheetView>
  </sheetViews>
  <sheetFormatPr baseColWidth="10" defaultRowHeight="15" x14ac:dyDescent="0.25"/>
  <cols>
    <col min="1" max="1" width="30.85546875" customWidth="1"/>
    <col min="2" max="2" width="18.5703125" bestFit="1" customWidth="1"/>
    <col min="3" max="3" width="20" bestFit="1" customWidth="1"/>
    <col min="4" max="4" width="22.85546875" bestFit="1" customWidth="1"/>
    <col min="5" max="5" width="18.42578125" bestFit="1" customWidth="1"/>
    <col min="6" max="6" width="21.7109375" bestFit="1" customWidth="1"/>
    <col min="7" max="7" width="16.140625" bestFit="1" customWidth="1"/>
  </cols>
  <sheetData>
    <row r="1" spans="1:7" ht="18.75" x14ac:dyDescent="0.3">
      <c r="A1" s="20" t="s">
        <v>0</v>
      </c>
      <c r="B1" s="20"/>
      <c r="C1" s="20"/>
      <c r="D1" s="20"/>
      <c r="E1" s="20"/>
      <c r="F1" s="20"/>
    </row>
    <row r="3" spans="1:7" x14ac:dyDescent="0.25">
      <c r="A3" s="13" t="s">
        <v>13</v>
      </c>
    </row>
    <row r="5" spans="1:7" x14ac:dyDescent="0.25">
      <c r="A5" t="s">
        <v>14</v>
      </c>
    </row>
    <row r="6" spans="1:7" x14ac:dyDescent="0.25">
      <c r="A6" t="s">
        <v>15</v>
      </c>
      <c r="B6" t="s">
        <v>16</v>
      </c>
      <c r="C6" t="s">
        <v>17</v>
      </c>
      <c r="D6" t="s">
        <v>23</v>
      </c>
      <c r="E6" t="s">
        <v>24</v>
      </c>
      <c r="F6" t="s">
        <v>25</v>
      </c>
      <c r="G6" t="s">
        <v>26</v>
      </c>
    </row>
    <row r="7" spans="1:7" x14ac:dyDescent="0.25">
      <c r="A7" t="s">
        <v>18</v>
      </c>
      <c r="B7" s="2">
        <v>1500</v>
      </c>
      <c r="C7">
        <v>2005</v>
      </c>
      <c r="D7" s="3">
        <v>100</v>
      </c>
      <c r="E7" s="19">
        <f>127+(127-123)/2</f>
        <v>129</v>
      </c>
      <c r="F7" s="4">
        <f>E7/D7</f>
        <v>1.29</v>
      </c>
      <c r="G7" s="2">
        <f>B7*F7</f>
        <v>1935</v>
      </c>
    </row>
    <row r="8" spans="1:7" x14ac:dyDescent="0.25">
      <c r="A8" t="s">
        <v>19</v>
      </c>
      <c r="B8" s="2">
        <v>2000</v>
      </c>
      <c r="C8">
        <v>2012</v>
      </c>
      <c r="D8">
        <v>116</v>
      </c>
      <c r="E8" s="19">
        <f>E7</f>
        <v>129</v>
      </c>
      <c r="F8" s="4">
        <f>E8/D8</f>
        <v>1.1120689655172413</v>
      </c>
      <c r="G8" s="2">
        <f t="shared" ref="G8:G11" si="0">B8*F8</f>
        <v>2224.1379310344828</v>
      </c>
    </row>
    <row r="9" spans="1:7" x14ac:dyDescent="0.25">
      <c r="A9" t="s">
        <v>20</v>
      </c>
      <c r="B9" s="2">
        <v>1250</v>
      </c>
      <c r="C9">
        <v>2012</v>
      </c>
      <c r="D9">
        <v>116</v>
      </c>
      <c r="E9" s="19">
        <f t="shared" ref="E9:E11" si="1">E8</f>
        <v>129</v>
      </c>
      <c r="F9" s="4">
        <f t="shared" ref="F9:F11" si="2">E9/D9</f>
        <v>1.1120689655172413</v>
      </c>
      <c r="G9" s="2">
        <f t="shared" si="0"/>
        <v>1390.0862068965516</v>
      </c>
    </row>
    <row r="10" spans="1:7" x14ac:dyDescent="0.25">
      <c r="A10" t="s">
        <v>21</v>
      </c>
      <c r="B10" s="2">
        <v>1900</v>
      </c>
      <c r="C10">
        <v>2013</v>
      </c>
      <c r="D10">
        <v>119</v>
      </c>
      <c r="E10" s="19">
        <f t="shared" si="1"/>
        <v>129</v>
      </c>
      <c r="F10" s="4">
        <f t="shared" si="2"/>
        <v>1.0840336134453781</v>
      </c>
      <c r="G10" s="2">
        <f t="shared" si="0"/>
        <v>2059.6638655462184</v>
      </c>
    </row>
    <row r="11" spans="1:7" x14ac:dyDescent="0.25">
      <c r="A11" t="s">
        <v>22</v>
      </c>
      <c r="B11" s="2">
        <v>2100</v>
      </c>
      <c r="C11">
        <v>2015</v>
      </c>
      <c r="D11">
        <v>127</v>
      </c>
      <c r="E11" s="19">
        <f t="shared" si="1"/>
        <v>129</v>
      </c>
      <c r="F11" s="4">
        <f t="shared" si="2"/>
        <v>1.015748031496063</v>
      </c>
      <c r="G11" s="2">
        <f t="shared" si="0"/>
        <v>2133.070866141732</v>
      </c>
    </row>
    <row r="13" spans="1:7" x14ac:dyDescent="0.25">
      <c r="A13" t="s">
        <v>143</v>
      </c>
      <c r="B13" s="19" t="s">
        <v>144</v>
      </c>
    </row>
    <row r="14" spans="1:7" x14ac:dyDescent="0.25">
      <c r="B14" s="19" t="s">
        <v>145</v>
      </c>
    </row>
    <row r="15" spans="1:7" x14ac:dyDescent="0.25">
      <c r="B15" s="3" t="s">
        <v>137</v>
      </c>
    </row>
    <row r="16" spans="1:7" x14ac:dyDescent="0.25">
      <c r="B16" s="3" t="s">
        <v>35</v>
      </c>
    </row>
    <row r="20" spans="1:3" x14ac:dyDescent="0.25">
      <c r="A20" t="s">
        <v>27</v>
      </c>
      <c r="B20" s="5">
        <f>AVERAGE(G7:G11)</f>
        <v>1948.3917739237972</v>
      </c>
    </row>
    <row r="21" spans="1:3" x14ac:dyDescent="0.25">
      <c r="A21" t="s">
        <v>29</v>
      </c>
      <c r="B21" s="5">
        <f>B20-B20*0.3</f>
        <v>1363.8742417466581</v>
      </c>
    </row>
    <row r="22" spans="1:3" x14ac:dyDescent="0.25">
      <c r="A22" t="s">
        <v>28</v>
      </c>
      <c r="B22" s="5">
        <f>B20+B20*0.3</f>
        <v>2532.9093061009362</v>
      </c>
    </row>
    <row r="23" spans="1:3" x14ac:dyDescent="0.25">
      <c r="A23" t="s">
        <v>30</v>
      </c>
      <c r="B23">
        <v>0</v>
      </c>
    </row>
    <row r="25" spans="1:3" x14ac:dyDescent="0.25">
      <c r="A25" t="s">
        <v>31</v>
      </c>
      <c r="B25" s="6">
        <f>ROUND(B20,0)</f>
        <v>1948</v>
      </c>
    </row>
    <row r="26" spans="1:3" x14ac:dyDescent="0.25">
      <c r="A26" t="s">
        <v>32</v>
      </c>
      <c r="B26">
        <v>500</v>
      </c>
      <c r="C26" t="s">
        <v>33</v>
      </c>
    </row>
    <row r="27" spans="1:3" x14ac:dyDescent="0.25">
      <c r="A27" t="s">
        <v>34</v>
      </c>
      <c r="B27" s="6">
        <f>B25*B26</f>
        <v>974000</v>
      </c>
    </row>
    <row r="29" spans="1:3" x14ac:dyDescent="0.25">
      <c r="A29" s="13" t="s">
        <v>36</v>
      </c>
    </row>
    <row r="31" spans="1:3" x14ac:dyDescent="0.25">
      <c r="A31" s="13" t="s">
        <v>39</v>
      </c>
    </row>
    <row r="32" spans="1:3" x14ac:dyDescent="0.25">
      <c r="A32" t="s">
        <v>40</v>
      </c>
      <c r="B32">
        <v>1915</v>
      </c>
    </row>
    <row r="33" spans="1:4" x14ac:dyDescent="0.25">
      <c r="A33" t="s">
        <v>41</v>
      </c>
      <c r="B33">
        <v>1998</v>
      </c>
    </row>
    <row r="34" spans="1:4" x14ac:dyDescent="0.25">
      <c r="A34" t="s">
        <v>42</v>
      </c>
    </row>
    <row r="35" spans="1:4" x14ac:dyDescent="0.25">
      <c r="A35" t="s">
        <v>43</v>
      </c>
      <c r="B35">
        <v>70</v>
      </c>
      <c r="C35" t="s">
        <v>44</v>
      </c>
    </row>
    <row r="36" spans="1:4" x14ac:dyDescent="0.25">
      <c r="A36" t="s">
        <v>45</v>
      </c>
      <c r="B36">
        <v>1998</v>
      </c>
      <c r="C36" t="s">
        <v>47</v>
      </c>
    </row>
    <row r="37" spans="1:4" x14ac:dyDescent="0.25">
      <c r="A37" t="s">
        <v>46</v>
      </c>
      <c r="B37">
        <f>70-(2016-1998)</f>
        <v>52</v>
      </c>
      <c r="C37" t="s">
        <v>44</v>
      </c>
      <c r="D37" t="s">
        <v>133</v>
      </c>
    </row>
    <row r="38" spans="1:4" x14ac:dyDescent="0.25">
      <c r="D38" t="s">
        <v>134</v>
      </c>
    </row>
    <row r="39" spans="1:4" x14ac:dyDescent="0.25">
      <c r="A39" s="13" t="s">
        <v>37</v>
      </c>
    </row>
    <row r="40" spans="1:4" x14ac:dyDescent="0.25">
      <c r="A40" t="s">
        <v>149</v>
      </c>
    </row>
    <row r="42" spans="1:4" x14ac:dyDescent="0.25">
      <c r="A42" s="17" t="s">
        <v>146</v>
      </c>
    </row>
    <row r="44" spans="1:4" x14ac:dyDescent="0.25">
      <c r="A44" t="s">
        <v>107</v>
      </c>
      <c r="B44" s="6">
        <f>F95</f>
        <v>171450</v>
      </c>
      <c r="C44" t="s">
        <v>108</v>
      </c>
    </row>
    <row r="45" spans="1:4" x14ac:dyDescent="0.25">
      <c r="A45" t="s">
        <v>109</v>
      </c>
      <c r="B45" s="8">
        <v>13.5</v>
      </c>
      <c r="C45" s="16" t="s">
        <v>110</v>
      </c>
    </row>
    <row r="46" spans="1:4" x14ac:dyDescent="0.25">
      <c r="A46" s="13" t="s">
        <v>111</v>
      </c>
      <c r="B46" s="18">
        <f>B44*B45</f>
        <v>2314575</v>
      </c>
      <c r="C46" s="7" t="s">
        <v>123</v>
      </c>
    </row>
    <row r="47" spans="1:4" x14ac:dyDescent="0.25">
      <c r="A47" s="13"/>
    </row>
    <row r="48" spans="1:4" x14ac:dyDescent="0.25">
      <c r="A48" s="17" t="s">
        <v>112</v>
      </c>
    </row>
    <row r="49" spans="1:3" x14ac:dyDescent="0.25">
      <c r="A49" s="14" t="s">
        <v>115</v>
      </c>
      <c r="B49">
        <v>300</v>
      </c>
      <c r="C49" t="s">
        <v>117</v>
      </c>
    </row>
    <row r="50" spans="1:3" x14ac:dyDescent="0.25">
      <c r="A50" s="14" t="s">
        <v>113</v>
      </c>
      <c r="B50">
        <v>3000</v>
      </c>
      <c r="C50" t="s">
        <v>114</v>
      </c>
    </row>
    <row r="51" spans="1:3" x14ac:dyDescent="0.25">
      <c r="A51" s="14" t="s">
        <v>118</v>
      </c>
      <c r="B51" s="6">
        <f>B49*B50</f>
        <v>900000</v>
      </c>
    </row>
    <row r="52" spans="1:3" x14ac:dyDescent="0.25">
      <c r="A52" s="14" t="s">
        <v>116</v>
      </c>
      <c r="B52">
        <v>375</v>
      </c>
      <c r="C52" t="s">
        <v>117</v>
      </c>
    </row>
    <row r="53" spans="1:3" x14ac:dyDescent="0.25">
      <c r="A53" s="14" t="s">
        <v>113</v>
      </c>
      <c r="B53">
        <v>3500</v>
      </c>
      <c r="C53" t="s">
        <v>114</v>
      </c>
    </row>
    <row r="54" spans="1:3" x14ac:dyDescent="0.25">
      <c r="A54" s="14" t="s">
        <v>119</v>
      </c>
      <c r="B54" s="6">
        <f>B52*B53</f>
        <v>1312500</v>
      </c>
    </row>
    <row r="55" spans="1:3" x14ac:dyDescent="0.25">
      <c r="A55" s="13"/>
    </row>
    <row r="56" spans="1:3" x14ac:dyDescent="0.25">
      <c r="A56" s="13" t="s">
        <v>111</v>
      </c>
      <c r="B56" s="18">
        <f>B51+B54</f>
        <v>2212500</v>
      </c>
      <c r="C56" s="7" t="s">
        <v>122</v>
      </c>
    </row>
    <row r="58" spans="1:3" x14ac:dyDescent="0.25">
      <c r="A58" s="13" t="s">
        <v>38</v>
      </c>
    </row>
    <row r="60" spans="1:3" x14ac:dyDescent="0.25">
      <c r="A60" t="s">
        <v>126</v>
      </c>
      <c r="B60" s="6">
        <f>1085*0.85</f>
        <v>922.25</v>
      </c>
      <c r="C60" s="7" t="s">
        <v>127</v>
      </c>
    </row>
    <row r="61" spans="1:3" x14ac:dyDescent="0.25">
      <c r="A61" t="s">
        <v>128</v>
      </c>
      <c r="B61" s="8">
        <v>107.8</v>
      </c>
      <c r="C61" s="7" t="s">
        <v>48</v>
      </c>
    </row>
    <row r="62" spans="1:3" x14ac:dyDescent="0.25">
      <c r="A62" t="s">
        <v>129</v>
      </c>
      <c r="B62" s="8">
        <f>118.7+(118.7-116.9)/2</f>
        <v>119.6</v>
      </c>
      <c r="C62" s="7" t="s">
        <v>147</v>
      </c>
    </row>
    <row r="63" spans="1:3" x14ac:dyDescent="0.25">
      <c r="A63" t="s">
        <v>49</v>
      </c>
      <c r="B63" s="6">
        <f>B60*B62/B61</f>
        <v>1023.2012987012987</v>
      </c>
      <c r="C63" s="7"/>
    </row>
    <row r="64" spans="1:3" x14ac:dyDescent="0.25">
      <c r="A64" t="s">
        <v>50</v>
      </c>
      <c r="B64" s="9">
        <v>800</v>
      </c>
      <c r="C64" s="7" t="s">
        <v>48</v>
      </c>
    </row>
    <row r="65" spans="1:3" x14ac:dyDescent="0.25">
      <c r="A65" t="s">
        <v>51</v>
      </c>
      <c r="B65" s="6">
        <f>B63*B64</f>
        <v>818561.03896103892</v>
      </c>
      <c r="C65" s="7"/>
    </row>
    <row r="66" spans="1:3" x14ac:dyDescent="0.25">
      <c r="A66" t="s">
        <v>52</v>
      </c>
      <c r="B66" s="6">
        <v>0</v>
      </c>
      <c r="C66" s="7" t="s">
        <v>69</v>
      </c>
    </row>
    <row r="67" spans="1:3" x14ac:dyDescent="0.25">
      <c r="A67" t="s">
        <v>53</v>
      </c>
      <c r="B67" s="6">
        <f>B65+B66</f>
        <v>818561.03896103892</v>
      </c>
      <c r="C67" s="7"/>
    </row>
    <row r="68" spans="1:3" x14ac:dyDescent="0.25">
      <c r="A68" t="s">
        <v>54</v>
      </c>
      <c r="B68" s="11">
        <f>B35</f>
        <v>70</v>
      </c>
      <c r="C68" s="7"/>
    </row>
    <row r="69" spans="1:3" x14ac:dyDescent="0.25">
      <c r="A69" t="s">
        <v>46</v>
      </c>
      <c r="B69" s="11">
        <f>B37</f>
        <v>52</v>
      </c>
      <c r="C69" s="7"/>
    </row>
    <row r="70" spans="1:3" x14ac:dyDescent="0.25">
      <c r="A70" t="s">
        <v>55</v>
      </c>
      <c r="B70" s="12">
        <f>(B68-B69)/B68</f>
        <v>0.25714285714285712</v>
      </c>
      <c r="C70" s="7"/>
    </row>
    <row r="71" spans="1:3" x14ac:dyDescent="0.25">
      <c r="A71" t="s">
        <v>56</v>
      </c>
      <c r="B71" s="6">
        <f>B70*B67</f>
        <v>210487.12430426714</v>
      </c>
      <c r="C71" s="7"/>
    </row>
    <row r="72" spans="1:3" x14ac:dyDescent="0.25">
      <c r="A72" t="s">
        <v>57</v>
      </c>
      <c r="B72" s="6">
        <f>B67-B71</f>
        <v>608073.91465677181</v>
      </c>
      <c r="C72" s="7"/>
    </row>
    <row r="73" spans="1:3" x14ac:dyDescent="0.25">
      <c r="A73" t="s">
        <v>58</v>
      </c>
      <c r="B73" s="10">
        <v>0.06</v>
      </c>
      <c r="C73" s="7" t="s">
        <v>70</v>
      </c>
    </row>
    <row r="74" spans="1:3" x14ac:dyDescent="0.25">
      <c r="A74" t="s">
        <v>59</v>
      </c>
      <c r="B74" s="6">
        <f>B72*B73</f>
        <v>36484.434879406304</v>
      </c>
      <c r="C74" s="7"/>
    </row>
    <row r="75" spans="1:3" x14ac:dyDescent="0.25">
      <c r="A75" t="s">
        <v>60</v>
      </c>
      <c r="B75" s="6">
        <v>0</v>
      </c>
      <c r="C75" s="7" t="s">
        <v>61</v>
      </c>
    </row>
    <row r="76" spans="1:3" x14ac:dyDescent="0.25">
      <c r="A76" t="s">
        <v>34</v>
      </c>
      <c r="B76" s="6">
        <f>B27</f>
        <v>974000</v>
      </c>
      <c r="C76" s="7"/>
    </row>
    <row r="77" spans="1:3" x14ac:dyDescent="0.25">
      <c r="A77" t="s">
        <v>62</v>
      </c>
      <c r="B77" s="6">
        <f>B72+B74+B76</f>
        <v>1618558.3495361782</v>
      </c>
      <c r="C77" s="7"/>
    </row>
    <row r="78" spans="1:3" x14ac:dyDescent="0.25">
      <c r="A78" t="s">
        <v>130</v>
      </c>
      <c r="B78">
        <v>1.2</v>
      </c>
      <c r="C78" s="7" t="s">
        <v>131</v>
      </c>
    </row>
    <row r="79" spans="1:3" x14ac:dyDescent="0.25">
      <c r="A79" t="s">
        <v>63</v>
      </c>
      <c r="B79" s="6">
        <f>B77*B78</f>
        <v>1942270.0194434137</v>
      </c>
      <c r="C79" s="7"/>
    </row>
    <row r="80" spans="1:3" x14ac:dyDescent="0.25">
      <c r="A80" t="s">
        <v>64</v>
      </c>
      <c r="B80" s="1">
        <v>0</v>
      </c>
      <c r="C80" s="7" t="s">
        <v>71</v>
      </c>
    </row>
    <row r="81" spans="1:6" x14ac:dyDescent="0.25">
      <c r="A81" t="s">
        <v>65</v>
      </c>
      <c r="B81" s="6">
        <f>B79+B80</f>
        <v>1942270.0194434137</v>
      </c>
    </row>
    <row r="82" spans="1:6" x14ac:dyDescent="0.25">
      <c r="A82" t="s">
        <v>66</v>
      </c>
      <c r="B82" s="6">
        <f>ROUND(B81,-5)</f>
        <v>1900000</v>
      </c>
      <c r="C82" s="7" t="s">
        <v>67</v>
      </c>
    </row>
    <row r="83" spans="1:6" x14ac:dyDescent="0.25">
      <c r="C83" s="7" t="s">
        <v>68</v>
      </c>
    </row>
    <row r="86" spans="1:6" x14ac:dyDescent="0.25">
      <c r="A86" s="13" t="s">
        <v>72</v>
      </c>
    </row>
    <row r="88" spans="1:6" x14ac:dyDescent="0.25">
      <c r="A88" t="s">
        <v>73</v>
      </c>
    </row>
    <row r="89" spans="1:6" x14ac:dyDescent="0.25">
      <c r="A89" t="s">
        <v>1</v>
      </c>
      <c r="B89" t="s">
        <v>10</v>
      </c>
      <c r="C89" t="s">
        <v>2</v>
      </c>
      <c r="D89" t="s">
        <v>9</v>
      </c>
      <c r="E89" t="s">
        <v>77</v>
      </c>
      <c r="F89" t="s">
        <v>135</v>
      </c>
    </row>
    <row r="90" spans="1:6" x14ac:dyDescent="0.25">
      <c r="A90" t="s">
        <v>3</v>
      </c>
      <c r="B90">
        <v>120</v>
      </c>
      <c r="C90" t="s">
        <v>139</v>
      </c>
      <c r="D90" s="2">
        <v>52.5</v>
      </c>
      <c r="E90" s="2">
        <f>D90*B90*12</f>
        <v>75600</v>
      </c>
      <c r="F90" s="5">
        <f>B90*C97*12</f>
        <v>64800</v>
      </c>
    </row>
    <row r="91" spans="1:6" x14ac:dyDescent="0.25">
      <c r="A91" t="s">
        <v>4</v>
      </c>
      <c r="B91">
        <v>180</v>
      </c>
      <c r="C91" t="s">
        <v>140</v>
      </c>
      <c r="D91" s="2">
        <v>27.5</v>
      </c>
      <c r="E91" s="2">
        <f t="shared" ref="E91:E93" si="3">D91*B91*12</f>
        <v>59400</v>
      </c>
      <c r="F91" s="5">
        <f>B91*C98*12</f>
        <v>59400</v>
      </c>
    </row>
    <row r="92" spans="1:6" x14ac:dyDescent="0.25">
      <c r="A92" t="s">
        <v>5</v>
      </c>
      <c r="B92">
        <v>150</v>
      </c>
      <c r="C92" t="s">
        <v>141</v>
      </c>
      <c r="D92" s="2">
        <v>10</v>
      </c>
      <c r="E92" s="2">
        <f t="shared" si="3"/>
        <v>18000</v>
      </c>
      <c r="F92" s="5">
        <f>B92*$C$99*12</f>
        <v>18900</v>
      </c>
    </row>
    <row r="93" spans="1:6" x14ac:dyDescent="0.25">
      <c r="A93" t="s">
        <v>6</v>
      </c>
      <c r="B93">
        <v>125</v>
      </c>
      <c r="C93" t="s">
        <v>142</v>
      </c>
      <c r="D93" s="2">
        <v>11</v>
      </c>
      <c r="E93" s="2">
        <f t="shared" si="3"/>
        <v>16500</v>
      </c>
      <c r="F93" s="5">
        <f>B93*$C$99*12</f>
        <v>15750</v>
      </c>
    </row>
    <row r="94" spans="1:6" x14ac:dyDescent="0.25">
      <c r="A94" t="s">
        <v>7</v>
      </c>
      <c r="B94">
        <v>100</v>
      </c>
      <c r="C94" t="s">
        <v>8</v>
      </c>
      <c r="D94" s="2"/>
      <c r="E94" s="2"/>
      <c r="F94" s="5">
        <f>B94*$C$99*12</f>
        <v>12600</v>
      </c>
    </row>
    <row r="95" spans="1:6" x14ac:dyDescent="0.25">
      <c r="A95" s="13" t="s">
        <v>78</v>
      </c>
      <c r="B95" s="13">
        <f>SUM(B90:B94)</f>
        <v>675</v>
      </c>
      <c r="C95" s="13"/>
      <c r="D95" s="13"/>
      <c r="E95" s="13"/>
      <c r="F95" s="15">
        <f>SUM(F90:F94)</f>
        <v>171450</v>
      </c>
    </row>
    <row r="97" spans="1:4" x14ac:dyDescent="0.25">
      <c r="A97" t="s">
        <v>74</v>
      </c>
      <c r="B97" t="s">
        <v>11</v>
      </c>
      <c r="C97" s="2">
        <v>45</v>
      </c>
      <c r="D97" t="s">
        <v>12</v>
      </c>
    </row>
    <row r="98" spans="1:4" x14ac:dyDescent="0.25">
      <c r="C98" s="2">
        <v>27.5</v>
      </c>
      <c r="D98" t="s">
        <v>75</v>
      </c>
    </row>
    <row r="99" spans="1:4" x14ac:dyDescent="0.25">
      <c r="C99" s="2">
        <v>10.5</v>
      </c>
      <c r="D99" t="s">
        <v>76</v>
      </c>
    </row>
    <row r="103" spans="1:4" x14ac:dyDescent="0.25">
      <c r="A103" s="13" t="s">
        <v>97</v>
      </c>
    </row>
    <row r="104" spans="1:4" x14ac:dyDescent="0.25">
      <c r="A104" t="s">
        <v>79</v>
      </c>
      <c r="B104" s="6">
        <f>F95</f>
        <v>171450</v>
      </c>
      <c r="C104" s="7" t="s">
        <v>93</v>
      </c>
    </row>
    <row r="105" spans="1:4" x14ac:dyDescent="0.25">
      <c r="A105" t="s">
        <v>94</v>
      </c>
      <c r="B105" s="6">
        <f>B104*0.045</f>
        <v>7715.25</v>
      </c>
      <c r="C105" s="7" t="s">
        <v>96</v>
      </c>
    </row>
    <row r="106" spans="1:4" x14ac:dyDescent="0.25">
      <c r="A106" t="s">
        <v>95</v>
      </c>
      <c r="B106" s="6">
        <v>25000</v>
      </c>
      <c r="C106" s="7" t="s">
        <v>48</v>
      </c>
    </row>
    <row r="107" spans="1:4" x14ac:dyDescent="0.25">
      <c r="A107" t="s">
        <v>81</v>
      </c>
      <c r="B107" s="6">
        <f>B104-B105-B106</f>
        <v>138734.75</v>
      </c>
      <c r="C107" s="7"/>
    </row>
    <row r="108" spans="1:4" x14ac:dyDescent="0.25">
      <c r="B108" s="6"/>
      <c r="C108" s="7"/>
    </row>
    <row r="109" spans="1:4" x14ac:dyDescent="0.25">
      <c r="A109" t="s">
        <v>34</v>
      </c>
      <c r="B109" s="6">
        <f>B27</f>
        <v>974000</v>
      </c>
      <c r="C109" s="7" t="s">
        <v>82</v>
      </c>
    </row>
    <row r="110" spans="1:4" x14ac:dyDescent="0.25">
      <c r="A110" t="s">
        <v>83</v>
      </c>
      <c r="B110" s="12">
        <v>0.05</v>
      </c>
      <c r="C110" s="7" t="s">
        <v>84</v>
      </c>
    </row>
    <row r="111" spans="1:4" x14ac:dyDescent="0.25">
      <c r="A111" t="s">
        <v>85</v>
      </c>
      <c r="B111" s="6">
        <f>B109*B110</f>
        <v>48700</v>
      </c>
      <c r="C111" s="7" t="s">
        <v>86</v>
      </c>
    </row>
    <row r="112" spans="1:4" x14ac:dyDescent="0.25">
      <c r="B112" s="6"/>
      <c r="C112" s="7"/>
    </row>
    <row r="113" spans="1:3" x14ac:dyDescent="0.25">
      <c r="A113" t="s">
        <v>87</v>
      </c>
      <c r="B113" s="6">
        <f>B107-B111</f>
        <v>90034.75</v>
      </c>
      <c r="C113" s="7"/>
    </row>
    <row r="114" spans="1:3" x14ac:dyDescent="0.25">
      <c r="A114" t="s">
        <v>88</v>
      </c>
      <c r="B114" s="4">
        <f>((1+B110)^B37-1)/((1+B110)^B37*B110)</f>
        <v>18.418072980092866</v>
      </c>
      <c r="C114" s="7" t="s">
        <v>138</v>
      </c>
    </row>
    <row r="115" spans="1:3" x14ac:dyDescent="0.25">
      <c r="A115" t="s">
        <v>89</v>
      </c>
      <c r="B115" s="6">
        <f>B113*B114</f>
        <v>1658266.5962444162</v>
      </c>
    </row>
    <row r="116" spans="1:3" x14ac:dyDescent="0.25">
      <c r="B116" s="6"/>
      <c r="C116" s="7"/>
    </row>
    <row r="117" spans="1:3" x14ac:dyDescent="0.25">
      <c r="A117" t="s">
        <v>34</v>
      </c>
      <c r="B117" s="6">
        <f>B109</f>
        <v>974000</v>
      </c>
      <c r="C117" s="7"/>
    </row>
    <row r="118" spans="1:3" x14ac:dyDescent="0.25">
      <c r="B118" s="6"/>
      <c r="C118" s="7"/>
    </row>
    <row r="119" spans="1:3" x14ac:dyDescent="0.25">
      <c r="A119" t="s">
        <v>90</v>
      </c>
      <c r="B119" s="6">
        <f>B117+B115</f>
        <v>2632266.5962444162</v>
      </c>
      <c r="C119" s="7"/>
    </row>
    <row r="120" spans="1:3" x14ac:dyDescent="0.25">
      <c r="C120" s="7"/>
    </row>
    <row r="121" spans="1:3" x14ac:dyDescent="0.25">
      <c r="A121" t="s">
        <v>98</v>
      </c>
      <c r="C121" s="7"/>
    </row>
    <row r="122" spans="1:3" x14ac:dyDescent="0.25">
      <c r="A122" t="s">
        <v>99</v>
      </c>
      <c r="B122" s="6">
        <v>15000</v>
      </c>
      <c r="C122" s="7" t="s">
        <v>120</v>
      </c>
    </row>
    <row r="123" spans="1:3" x14ac:dyDescent="0.25">
      <c r="B123" s="6"/>
      <c r="C123" s="7" t="s">
        <v>121</v>
      </c>
    </row>
    <row r="124" spans="1:3" x14ac:dyDescent="0.25">
      <c r="A124" t="s">
        <v>91</v>
      </c>
      <c r="B124" s="6">
        <f>B119+B122</f>
        <v>2647266.5962444162</v>
      </c>
      <c r="C124" s="7"/>
    </row>
    <row r="125" spans="1:3" x14ac:dyDescent="0.25">
      <c r="A125" t="s">
        <v>66</v>
      </c>
      <c r="B125" s="6">
        <f>ROUND(B124,-5)</f>
        <v>2600000</v>
      </c>
      <c r="C125" s="7" t="s">
        <v>92</v>
      </c>
    </row>
    <row r="126" spans="1:3" x14ac:dyDescent="0.25">
      <c r="B126" s="6"/>
      <c r="C126" s="7" t="s">
        <v>68</v>
      </c>
    </row>
    <row r="129" spans="1:3" x14ac:dyDescent="0.25">
      <c r="A129" s="13" t="s">
        <v>100</v>
      </c>
    </row>
    <row r="131" spans="1:3" x14ac:dyDescent="0.25">
      <c r="A131" t="s">
        <v>79</v>
      </c>
      <c r="B131" s="6">
        <f>B104</f>
        <v>171450</v>
      </c>
      <c r="C131" s="7" t="s">
        <v>93</v>
      </c>
    </row>
    <row r="132" spans="1:3" x14ac:dyDescent="0.25">
      <c r="A132" t="s">
        <v>80</v>
      </c>
      <c r="B132" s="6">
        <f>B105+B106</f>
        <v>32715.25</v>
      </c>
      <c r="C132" s="7" t="s">
        <v>101</v>
      </c>
    </row>
    <row r="133" spans="1:3" x14ac:dyDescent="0.25">
      <c r="A133" t="s">
        <v>81</v>
      </c>
      <c r="B133" s="6">
        <f>B131-B132</f>
        <v>138734.75</v>
      </c>
      <c r="C133" s="7" t="s">
        <v>101</v>
      </c>
    </row>
    <row r="134" spans="1:3" x14ac:dyDescent="0.25">
      <c r="A134" t="s">
        <v>88</v>
      </c>
      <c r="B134" s="4">
        <f>B114</f>
        <v>18.418072980092866</v>
      </c>
      <c r="C134" s="7" t="str">
        <f>C114</f>
        <v>5%, Restnutzungsdauer</v>
      </c>
    </row>
    <row r="135" spans="1:3" x14ac:dyDescent="0.25">
      <c r="A135" t="s">
        <v>102</v>
      </c>
      <c r="B135" s="6">
        <f>B133*B134</f>
        <v>2555226.7503749388</v>
      </c>
      <c r="C135" s="7"/>
    </row>
    <row r="136" spans="1:3" x14ac:dyDescent="0.25">
      <c r="C136" s="7"/>
    </row>
    <row r="137" spans="1:3" x14ac:dyDescent="0.25">
      <c r="A137" t="s">
        <v>34</v>
      </c>
      <c r="B137" s="6">
        <f>B117</f>
        <v>974000</v>
      </c>
      <c r="C137" s="7"/>
    </row>
    <row r="138" spans="1:3" x14ac:dyDescent="0.25">
      <c r="A138" t="s">
        <v>103</v>
      </c>
      <c r="B138" s="4">
        <f>1.05^-B37</f>
        <v>7.9096350995356543E-2</v>
      </c>
      <c r="C138" s="7" t="s">
        <v>132</v>
      </c>
    </row>
    <row r="139" spans="1:3" x14ac:dyDescent="0.25">
      <c r="A139" t="s">
        <v>104</v>
      </c>
      <c r="B139" s="6">
        <f>B137*B138</f>
        <v>77039.845869477271</v>
      </c>
      <c r="C139" s="7"/>
    </row>
    <row r="140" spans="1:3" x14ac:dyDescent="0.25">
      <c r="A140" t="s">
        <v>105</v>
      </c>
      <c r="B140" s="6">
        <f>B135+B139</f>
        <v>2632266.5962444162</v>
      </c>
      <c r="C140" s="7"/>
    </row>
    <row r="141" spans="1:3" x14ac:dyDescent="0.25">
      <c r="C141" s="7"/>
    </row>
    <row r="142" spans="1:3" x14ac:dyDescent="0.25">
      <c r="A142" t="s">
        <v>106</v>
      </c>
      <c r="C142" s="7"/>
    </row>
    <row r="143" spans="1:3" x14ac:dyDescent="0.25">
      <c r="A143" t="s">
        <v>99</v>
      </c>
      <c r="B143" s="6">
        <f>B122</f>
        <v>15000</v>
      </c>
      <c r="C143" s="7" t="s">
        <v>101</v>
      </c>
    </row>
    <row r="144" spans="1:3" x14ac:dyDescent="0.25">
      <c r="C144" s="7"/>
    </row>
    <row r="145" spans="1:3" x14ac:dyDescent="0.25">
      <c r="A145" t="s">
        <v>91</v>
      </c>
      <c r="B145" s="6">
        <f>B140+B143</f>
        <v>2647266.5962444162</v>
      </c>
    </row>
    <row r="146" spans="1:3" x14ac:dyDescent="0.25">
      <c r="A146" t="s">
        <v>66</v>
      </c>
      <c r="B146" s="6">
        <f>ROUND(B145,-5)</f>
        <v>2600000</v>
      </c>
      <c r="C146" s="7" t="s">
        <v>92</v>
      </c>
    </row>
    <row r="147" spans="1:3" x14ac:dyDescent="0.25">
      <c r="B147" s="6"/>
      <c r="C147" s="7" t="s">
        <v>68</v>
      </c>
    </row>
    <row r="150" spans="1:3" x14ac:dyDescent="0.25">
      <c r="A150" s="13" t="s">
        <v>124</v>
      </c>
    </row>
    <row r="151" spans="1:3" x14ac:dyDescent="0.25">
      <c r="A151" t="s">
        <v>125</v>
      </c>
    </row>
    <row r="152" spans="1:3" x14ac:dyDescent="0.25">
      <c r="A152" t="s">
        <v>148</v>
      </c>
    </row>
    <row r="153" spans="1:3" x14ac:dyDescent="0.25">
      <c r="A153" t="s">
        <v>136</v>
      </c>
    </row>
  </sheetData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Focke</dc:creator>
  <cp:lastModifiedBy>Focke, Christian</cp:lastModifiedBy>
  <dcterms:created xsi:type="dcterms:W3CDTF">2012-07-12T13:29:06Z</dcterms:created>
  <dcterms:modified xsi:type="dcterms:W3CDTF">2020-01-15T08:48:04Z</dcterms:modified>
</cp:coreProperties>
</file>